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odede\Downloads\"/>
    </mc:Choice>
  </mc:AlternateContent>
  <xr:revisionPtr revIDLastSave="0" documentId="13_ncr:1_{B68AE896-B745-44C2-BAA3-0AC5E581C88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E8" i="3"/>
  <c r="C8" i="3"/>
  <c r="C7" i="3"/>
  <c r="D51" i="3"/>
  <c r="E51" i="3"/>
  <c r="C51" i="3"/>
  <c r="D50" i="3"/>
  <c r="E50" i="3"/>
  <c r="C50" i="3"/>
  <c r="C52" i="3"/>
  <c r="D49" i="3"/>
  <c r="E49" i="3"/>
  <c r="C49" i="3"/>
  <c r="D48" i="3"/>
  <c r="E48" i="3"/>
  <c r="C48" i="3"/>
  <c r="D46" i="3"/>
  <c r="E46" i="3"/>
  <c r="C46" i="3"/>
  <c r="D45" i="3"/>
  <c r="E45" i="3"/>
  <c r="C45" i="3"/>
  <c r="D44" i="3"/>
  <c r="E44" i="3"/>
  <c r="C44" i="3"/>
  <c r="D42" i="3"/>
  <c r="E42" i="3"/>
  <c r="C42" i="3"/>
  <c r="D43" i="3"/>
  <c r="E43" i="3"/>
  <c r="C43" i="3"/>
  <c r="D40" i="3"/>
  <c r="E40" i="3"/>
  <c r="C40" i="3"/>
  <c r="D47" i="3"/>
  <c r="E47" i="3"/>
  <c r="C47" i="3"/>
  <c r="D30" i="3" l="1"/>
  <c r="E30" i="3"/>
  <c r="C30" i="3"/>
  <c r="D31" i="3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2" i="3"/>
  <c r="E22" i="3"/>
  <c r="C22" i="3"/>
  <c r="D18" i="3"/>
  <c r="E18" i="3"/>
  <c r="C18" i="3"/>
  <c r="C19" i="3"/>
  <c r="D19" i="3"/>
  <c r="E19" i="3"/>
  <c r="D41" i="3"/>
  <c r="E41" i="3"/>
  <c r="C41" i="3"/>
  <c r="D20" i="3"/>
  <c r="E20" i="3"/>
  <c r="C20" i="3"/>
  <c r="D17" i="3"/>
  <c r="E17" i="3"/>
  <c r="C17" i="3"/>
  <c r="D37" i="3"/>
  <c r="E37" i="3"/>
  <c r="C37" i="3"/>
  <c r="D36" i="3"/>
  <c r="E36" i="3"/>
  <c r="C36" i="3"/>
  <c r="D35" i="3"/>
  <c r="E35" i="3"/>
  <c r="C35" i="3"/>
  <c r="D34" i="3"/>
  <c r="E34" i="3"/>
  <c r="C34" i="3"/>
  <c r="D25" i="3"/>
  <c r="E25" i="3"/>
  <c r="C25" i="3"/>
  <c r="D21" i="3" l="1"/>
  <c r="E21" i="3"/>
  <c r="C21" i="3"/>
  <c r="C13" i="3"/>
  <c r="D13" i="3"/>
  <c r="E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7" i="3"/>
  <c r="E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<sst xmlns="http://schemas.openxmlformats.org/spreadsheetml/2006/main" count="175" uniqueCount="152">
  <si>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</si>
  <si>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</si>
  <si>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</si>
  <si>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</si>
  <si>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</si>
  <si>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</si>
  <si>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</si>
  <si>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</si>
  <si>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</si>
  <si>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</si>
  <si>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</si>
  <si>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</si>
  <si>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</si>
  <si>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</si>
  <si>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</si>
  <si>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</si>
  <si>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</si>
  <si>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</si>
  <si>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</si>
  <si>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</si>
  <si>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</si>
  <si>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</si>
  <si>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</si>
  <si>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</si>
  <si>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</si>
  <si>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</si>
  <si>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</si>
  <si>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</si>
  <si>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</si>
  <si>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</si>
  <si>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</si>
  <si>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</si>
  <si>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</si>
  <si>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</si>
  <si>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</si>
  <si>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</si>
  <si>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</si>
  <si>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</si>
  <si>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</si>
  <si>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</si>
  <si>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</si>
  <si>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</si>
  <si>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</si>
  <si>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</si>
  <si>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</si>
  <si>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</si>
  <si>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</si>
  <si>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</si>
  <si>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</si>
  <si>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</si>
  <si>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</si>
  <si>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</si>
  <si>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</si>
  <si>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</si>
  <si>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</si>
  <si>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</si>
  <si>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</si>
  <si>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</si>
  <si>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</si>
  <si>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</si>
  <si>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</si>
  <si>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</si>
  <si>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</si>
  <si>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</si>
  <si>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</si>
  <si>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</si>
  <si>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</si>
  <si>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</si>
  <si>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</si>
  <si>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</si>
  <si>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</si>
  <si>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</si>
  <si>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</si>
  <si>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</si>
  <si>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</si>
  <si>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</si>
  <si>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</si>
  <si>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</si>
  <si>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</si>
  <si>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</si>
  <si>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</si>
  <si>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</si>
  <si>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</si>
  <si>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</si>
  <si>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</si>
  <si>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</si>
  <si>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</si>
  <si>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</si>
  <si>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</si>
  <si>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</si>
  <si>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</si>
  <si>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</si>
  <si>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</si>
  <si>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</si>
  <si>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</si>
  <si>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</si>
  <si>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</si>
  <si>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</si>
  <si>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</si>
  <si>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</si>
  <si>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</si>
  <si>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</si>
  <si>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</si>
  <si>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</si>
  <si>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</si>
  <si>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</si>
  <si>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</si>
  <si>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</si>
  <si>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</si>
  <si>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</si>
  <si>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</si>
  <si>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</si>
  <si>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</si>
  <si>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</si>
  <si>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</si>
  <si>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</si>
  <si>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</si>
  <si>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</si>
  <si>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</si>
  <si>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</si>
  <si>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</si>
  <si>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</si>
  <si>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</si>
  <si>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</si>
  <si>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</si>
  <si>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</si>
  <si>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</si>
  <si>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</si>
  <si>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</si>
  <si>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</si>
  <si>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</si>
  <si>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</si>
  <si>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</si>
  <si>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</si>
  <si>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</si>
  <si>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</si>
  <si>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</si>
  <si>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</si>
  <si>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</si>
  <si>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</si>
  <si>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</si>
  <si>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</si>
  <si>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</si>
  <si>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</si>
  <si>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</si>
  <si>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</si>
  <si>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</si>
  <si>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</si>
  <si>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</si>
  <si>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</si>
  <si>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used apple price as at 1st july 2022</t>
  </si>
  <si>
    <t>market capitalisation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</si>
</sst>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6" fontId="0" fillId="5" borderId="0" xfId="0" applyNumberFormat="1" applyFill="1"/>
    <xf numFmtId="0" fontId="0" fillId="5" borderId="0" xfId="0" applyFill="1"/>
    <xf numFmtId="4" fontId="0" fillId="0" borderId="0" xfId="0" applyNumberFormat="1" applyAlignment="1">
      <alignment horizontal="left" indent="1"/>
    </xf>
    <xf numFmtId="4" fontId="0" fillId="0" borderId="0" xfId="0" applyNumberFormat="1"/>
    <xf numFmtId="4" fontId="0" fillId="5" borderId="0" xfId="0" applyNumberFormat="1" applyFill="1" applyAlignment="1">
      <alignment horizontal="left" indent="1"/>
    </xf>
    <xf numFmtId="4" fontId="0" fillId="5" borderId="0" xfId="0" applyNumberFormat="1" applyFill="1"/>
    <xf numFmtId="4" fontId="0" fillId="0" borderId="0" xfId="0" applyNumberFormat="1" applyAlignment="1">
      <alignment horizontal="left" indent="2"/>
    </xf>
    <xf numFmtId="4" fontId="2" fillId="0" borderId="0" xfId="0" applyNumberFormat="1" applyFont="1" applyAlignment="1">
      <alignment horizontal="left"/>
    </xf>
    <xf numFmtId="4" fontId="0" fillId="0" borderId="0" xfId="3" applyNumberFormat="1" applyFont="1"/>
    <xf numFmtId="4" fontId="2" fillId="0" borderId="0" xfId="0" applyNumberFormat="1" applyFon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" sqref="A2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" workbookViewId="0">
      <selection activeCell="A65" sqref="A65"/>
    </sheetView>
  </sheetViews>
  <sheetFormatPr defaultRowHeight="14.5" x14ac:dyDescent="0.35"/>
  <cols>
    <col min="1" max="1" width="168.08984375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4" t="s">
        <v>1</v>
      </c>
      <c r="B2" s="24"/>
      <c r="C2" s="24"/>
      <c r="D2" s="24"/>
    </row>
    <row r="3" spans="1:10" x14ac:dyDescent="0.35">
      <c r="B3" s="23" t="s">
        <v>23</v>
      </c>
      <c r="C3" s="23"/>
      <c r="D3" s="23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4" t="s">
        <v>24</v>
      </c>
      <c r="B31" s="24"/>
      <c r="C31" s="24"/>
      <c r="D31" s="24"/>
    </row>
    <row r="32" spans="1:4" x14ac:dyDescent="0.35">
      <c r="B32" s="23" t="s">
        <v>142</v>
      </c>
      <c r="C32" s="23"/>
      <c r="D32" s="23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4" t="s">
        <v>55</v>
      </c>
      <c r="B71" s="24"/>
      <c r="C71" s="24"/>
      <c r="D71" s="24"/>
    </row>
    <row r="72" spans="1:4" x14ac:dyDescent="0.35">
      <c r="B72" s="23" t="s">
        <v>23</v>
      </c>
      <c r="C72" s="23"/>
      <c r="D72" s="23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tabSelected="1" topLeftCell="A44" workbookViewId="0">
      <selection activeCell="H9" sqref="H9"/>
    </sheetView>
  </sheetViews>
  <sheetFormatPr defaultRowHeight="14.5" x14ac:dyDescent="0.35"/>
  <cols>
    <col min="1" max="1" width="4.6328125" customWidth="1"/>
    <col min="2" max="2" width="44.90625" customWidth="1"/>
    <col min="3" max="4" width="13.36328125" bestFit="1" customWidth="1"/>
    <col min="5" max="5" width="17.7265625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3" t="s">
        <v>23</v>
      </c>
      <c r="D2" s="23"/>
      <c r="E2" s="23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27" t="s">
        <v>100</v>
      </c>
      <c r="C5" s="28">
        <f>'Financial Statements'!B42/'Financial Statements'!B56</f>
        <v>0.87935602862672257</v>
      </c>
      <c r="D5" s="28">
        <f>'Financial Statements'!C42/'Financial Statements'!C56</f>
        <v>1.0745531195957954</v>
      </c>
      <c r="E5" s="28">
        <f>'Financial Statements'!D42/'Financial Statements'!D56</f>
        <v>1.3636044481554577</v>
      </c>
    </row>
    <row r="6" spans="1:10" x14ac:dyDescent="0.35">
      <c r="A6" s="18">
        <f t="shared" ref="A6:A13" si="0">+A5+0.1</f>
        <v>1.2000000000000002</v>
      </c>
      <c r="B6" s="27" t="s">
        <v>101</v>
      </c>
      <c r="C6" s="28">
        <f>('Financial Statements'!B42-'Financial Statements'!B39)/'Financial Statements'!B56</f>
        <v>0.84723539114961488</v>
      </c>
      <c r="D6" s="28">
        <f>('Financial Statements'!C42-'Financial Statements'!C39)/'Financial Statements'!C56</f>
        <v>1.0221149018576519</v>
      </c>
      <c r="E6" s="28">
        <f>('Financial Statements'!D42-'Financial Statements'!D39)/'Financial Statements'!D56</f>
        <v>1.325072111735236</v>
      </c>
    </row>
    <row r="7" spans="1:10" x14ac:dyDescent="0.35">
      <c r="A7" s="18">
        <f t="shared" si="0"/>
        <v>1.3000000000000003</v>
      </c>
      <c r="B7" s="27" t="s">
        <v>102</v>
      </c>
      <c r="C7" s="28">
        <f>('Financial Statements'!B36+'Financial Statements'!B37)/'Financial Statements'!B56</f>
        <v>0.31369900377966253</v>
      </c>
      <c r="D7" s="28">
        <f>('Financial Statements'!C36+'Financial Statements'!C37)/'Financial Statements'!C56</f>
        <v>0.49919111259872012</v>
      </c>
      <c r="E7" s="28">
        <f>('Financial Statements'!D36+'Financial Statements'!D37)/'Financial Statements'!D56</f>
        <v>0.86290230757552755</v>
      </c>
    </row>
    <row r="8" spans="1:10" s="26" customFormat="1" x14ac:dyDescent="0.35">
      <c r="A8" s="25">
        <f t="shared" si="0"/>
        <v>1.4000000000000004</v>
      </c>
      <c r="B8" s="29" t="s">
        <v>103</v>
      </c>
      <c r="C8" s="30">
        <f>'Financial Statements'!B42/'Financial Statements'!B17</f>
        <v>2.6371603856266432</v>
      </c>
      <c r="D8" s="30">
        <f>'Financial Statements'!C42/'Financial Statements'!C17</f>
        <v>3.072344885729259</v>
      </c>
      <c r="E8" s="30">
        <f>'Financial Statements'!D42/'Financial Statements'!D17</f>
        <v>3.7165873590565841</v>
      </c>
    </row>
    <row r="9" spans="1:10" x14ac:dyDescent="0.35">
      <c r="A9" s="18">
        <f t="shared" si="0"/>
        <v>1.5000000000000004</v>
      </c>
      <c r="B9" s="27" t="s">
        <v>104</v>
      </c>
      <c r="C9" s="28">
        <f>('Financial Statements'!B39/'Financial Statements'!B12)*365</f>
        <v>8.0756980666171607</v>
      </c>
      <c r="D9" s="28">
        <f>('Financial Statements'!C39/'Financial Statements'!C12)*365</f>
        <v>11.27659274770989</v>
      </c>
      <c r="E9" s="28">
        <f>('Financial Statements'!D39/'Financial Statements'!D12)*365</f>
        <v>8.7418833562358831</v>
      </c>
    </row>
    <row r="10" spans="1:10" x14ac:dyDescent="0.35">
      <c r="A10" s="18">
        <f t="shared" si="0"/>
        <v>1.6000000000000005</v>
      </c>
      <c r="B10" s="27" t="s">
        <v>105</v>
      </c>
      <c r="C10" s="28">
        <f>('Financial Statements'!B51/'Financial Statements'!B12)*365</f>
        <v>104.68527730310539</v>
      </c>
      <c r="D10" s="28">
        <f>('Financial Statements'!C51/'Financial Statements'!C12)*365</f>
        <v>93.851071222315596</v>
      </c>
      <c r="E10" s="28">
        <f>('Financial Statements'!D51/'Financial Statements'!D12)*365</f>
        <v>91.048189715674198</v>
      </c>
    </row>
    <row r="11" spans="1:10" x14ac:dyDescent="0.35">
      <c r="A11" s="18">
        <f t="shared" si="0"/>
        <v>1.7000000000000006</v>
      </c>
      <c r="B11" s="27" t="s">
        <v>106</v>
      </c>
      <c r="C11" s="28">
        <f>('Financial Statements'!B38/'Financial Statements'!B8)*365</f>
        <v>26.087825363656648</v>
      </c>
      <c r="D11" s="28">
        <f>('Financial Statements'!C38/'Financial Statements'!C8)*365</f>
        <v>26.219311841713207</v>
      </c>
      <c r="E11" s="28">
        <f>('Financial Statements'!D38/'Financial Statements'!D8)*365</f>
        <v>21.433437152796749</v>
      </c>
    </row>
    <row r="12" spans="1:10" x14ac:dyDescent="0.35">
      <c r="A12" s="18">
        <f t="shared" si="0"/>
        <v>1.8000000000000007</v>
      </c>
      <c r="B12" s="27" t="s">
        <v>107</v>
      </c>
      <c r="C12" s="28">
        <f>C9+C11-C10</f>
        <v>-70.521753872831582</v>
      </c>
      <c r="D12" s="28">
        <f t="shared" ref="D12:E12" si="1">D9+D11-D10</f>
        <v>-56.355166632892498</v>
      </c>
      <c r="E12" s="28">
        <f t="shared" si="1"/>
        <v>-60.872869206641568</v>
      </c>
    </row>
    <row r="13" spans="1:10" x14ac:dyDescent="0.35">
      <c r="A13" s="18">
        <f t="shared" si="0"/>
        <v>1.9000000000000008</v>
      </c>
      <c r="B13" s="27" t="s">
        <v>108</v>
      </c>
      <c r="C13" s="28">
        <f>(C14/'Financial Statements'!B8)*100</f>
        <v>-4.7110527276784806</v>
      </c>
      <c r="D13" s="28">
        <f>(D14/'Financial Statements'!C8)*100</f>
        <v>2.5572895737486232</v>
      </c>
      <c r="E13" s="28">
        <f>(E14/'Financial Statements'!D8)*100</f>
        <v>13.959528623208204</v>
      </c>
    </row>
    <row r="14" spans="1:10" x14ac:dyDescent="0.35">
      <c r="A14" s="18"/>
      <c r="B14" s="31" t="s">
        <v>109</v>
      </c>
      <c r="C14" s="28">
        <f>'Financial Statements'!B42-'Financial Statements'!B56</f>
        <v>-18577</v>
      </c>
      <c r="D14" s="28">
        <f>'Financial Statements'!C42-'Financial Statements'!C56</f>
        <v>9355</v>
      </c>
      <c r="E14" s="28">
        <f>'Financial Statements'!D42-'Financial Statements'!D56</f>
        <v>38321</v>
      </c>
    </row>
    <row r="15" spans="1:10" x14ac:dyDescent="0.35">
      <c r="A15" s="18"/>
      <c r="B15" s="28"/>
      <c r="C15" s="28"/>
      <c r="D15" s="28"/>
      <c r="E15" s="28"/>
    </row>
    <row r="16" spans="1:10" x14ac:dyDescent="0.35">
      <c r="A16" s="18">
        <f>+A4+1</f>
        <v>2</v>
      </c>
      <c r="B16" s="32" t="s">
        <v>110</v>
      </c>
      <c r="C16" s="28"/>
      <c r="D16" s="28"/>
      <c r="E16" s="28"/>
    </row>
    <row r="17" spans="1:5" x14ac:dyDescent="0.35">
      <c r="A17" s="18">
        <f>+A16+0.1</f>
        <v>2.1</v>
      </c>
      <c r="B17" s="27" t="s">
        <v>9</v>
      </c>
      <c r="C17" s="33">
        <f>('Financial Statements'!B13/'Financial Statements'!B8)</f>
        <v>0.43309630561360085</v>
      </c>
      <c r="D17" s="33">
        <f>('Financial Statements'!C13/'Financial Statements'!C8)</f>
        <v>0.41779359625167778</v>
      </c>
      <c r="E17" s="33">
        <f>('Financial Statements'!D13/'Financial Statements'!D8)</f>
        <v>0.38233247727810865</v>
      </c>
    </row>
    <row r="18" spans="1:5" x14ac:dyDescent="0.35">
      <c r="A18" s="18">
        <f>+A17+0.1</f>
        <v>2.2000000000000002</v>
      </c>
      <c r="B18" s="27" t="s">
        <v>111</v>
      </c>
      <c r="C18" s="33">
        <f>C19/'Financial Statements'!B8</f>
        <v>0.3310467428130896</v>
      </c>
      <c r="D18" s="33">
        <f>D19/'Financial Statements'!C8</f>
        <v>0.32866979938056462</v>
      </c>
      <c r="E18" s="33">
        <f>E19/'Financial Statements'!D8</f>
        <v>0.2817478097736007</v>
      </c>
    </row>
    <row r="19" spans="1:5" x14ac:dyDescent="0.35">
      <c r="A19" s="18"/>
      <c r="B19" s="31" t="s">
        <v>112</v>
      </c>
      <c r="C19" s="28">
        <f>'Financial Statements'!B18+'Financial Statements'!B79</f>
        <v>130541</v>
      </c>
      <c r="D19" s="28">
        <f>'Financial Statements'!C18+'Financial Statements'!C79</f>
        <v>120233</v>
      </c>
      <c r="E19" s="28">
        <f>'Financial Statements'!D18+'Financial Statements'!D79</f>
        <v>77344</v>
      </c>
    </row>
    <row r="20" spans="1:5" x14ac:dyDescent="0.35">
      <c r="A20" s="18">
        <f>+A18+0.1</f>
        <v>2.3000000000000003</v>
      </c>
      <c r="B20" s="27" t="s">
        <v>113</v>
      </c>
      <c r="C20" s="33">
        <f>(C21/'Financial Statements'!B8)</f>
        <v>0.13020886165831491</v>
      </c>
      <c r="D20" s="33">
        <f>(D21/'Financial Statements'!C8)</f>
        <v>0.11996982097606181</v>
      </c>
      <c r="E20" s="33">
        <f>(E21/'Financial Statements'!D8)</f>
        <v>0.14085933373404003</v>
      </c>
    </row>
    <row r="21" spans="1:5" x14ac:dyDescent="0.35">
      <c r="A21" s="18"/>
      <c r="B21" s="31" t="s">
        <v>114</v>
      </c>
      <c r="C21" s="28">
        <f>'Financial Statements'!B17</f>
        <v>51345</v>
      </c>
      <c r="D21" s="28">
        <f>'Financial Statements'!C17</f>
        <v>43887</v>
      </c>
      <c r="E21" s="28">
        <f>'Financial Statements'!D17</f>
        <v>38668</v>
      </c>
    </row>
    <row r="22" spans="1:5" x14ac:dyDescent="0.35">
      <c r="A22" s="18">
        <f>+A20+0.1</f>
        <v>2.4000000000000004</v>
      </c>
      <c r="B22" s="27" t="s">
        <v>115</v>
      </c>
      <c r="C22" s="33">
        <f>'Financial Statements'!B22/'Financial Statements'!B8</f>
        <v>0.25309640705199732</v>
      </c>
      <c r="D22" s="33">
        <f>'Financial Statements'!C22/'Financial Statements'!C8</f>
        <v>0.25881793355694238</v>
      </c>
      <c r="E22" s="33">
        <f>'Financial Statements'!D22/'Financial Statements'!D8</f>
        <v>0.20913611278072236</v>
      </c>
    </row>
    <row r="23" spans="1:5" x14ac:dyDescent="0.35">
      <c r="A23" s="18"/>
      <c r="B23" s="28"/>
      <c r="C23" s="28"/>
      <c r="D23" s="28"/>
      <c r="E23" s="28"/>
    </row>
    <row r="24" spans="1:5" x14ac:dyDescent="0.35">
      <c r="A24" s="18">
        <f>+A16+1</f>
        <v>3</v>
      </c>
      <c r="B24" s="34" t="s">
        <v>116</v>
      </c>
      <c r="C24" s="28"/>
      <c r="D24" s="28"/>
      <c r="E24" s="28"/>
    </row>
    <row r="25" spans="1:5" x14ac:dyDescent="0.35">
      <c r="A25" s="18">
        <f>+A24+0.1</f>
        <v>3.1</v>
      </c>
      <c r="B25" s="27" t="s">
        <v>117</v>
      </c>
      <c r="C25" s="28">
        <f>'Financial Statements'!B62/'Financial Statements'!B68</f>
        <v>5.9615369434796337</v>
      </c>
      <c r="D25" s="28">
        <f>'Financial Statements'!C62/'Financial Statements'!C68</f>
        <v>4.5635124425423994</v>
      </c>
      <c r="E25" s="28">
        <f>'Financial Statements'!D62/'Financial Statements'!D68</f>
        <v>3.9570394404566951</v>
      </c>
    </row>
    <row r="26" spans="1:5" x14ac:dyDescent="0.35">
      <c r="A26" s="18">
        <f t="shared" ref="A26:A30" si="2">+A25+0.1</f>
        <v>3.2</v>
      </c>
      <c r="B26" s="27" t="s">
        <v>118</v>
      </c>
      <c r="C26" s="28">
        <f>'Financial Statements'!B62/'Financial Statements'!B48</f>
        <v>0.85635355983614692</v>
      </c>
      <c r="D26" s="28">
        <f>'Financial Statements'!C62/'Financial Statements'!C48</f>
        <v>0.82025743443057308</v>
      </c>
      <c r="E26" s="28">
        <f>'Financial Statements'!D62/'Financial Statements'!D48</f>
        <v>0.79826668477992391</v>
      </c>
    </row>
    <row r="27" spans="1:5" x14ac:dyDescent="0.35">
      <c r="A27" s="18">
        <f t="shared" si="2"/>
        <v>3.3000000000000003</v>
      </c>
      <c r="B27" s="27" t="s">
        <v>119</v>
      </c>
      <c r="C27" s="28">
        <f>'Financial Statements'!B56/('Financial Statements'!B56+'Financial Statements'!B68)</f>
        <v>0.75240161443216358</v>
      </c>
      <c r="D27" s="28">
        <f>'Financial Statements'!C56/('Financial Statements'!C56+'Financial Statements'!C68)</f>
        <v>0.6654310577978586</v>
      </c>
      <c r="E27" s="28">
        <f>'Financial Statements'!D56/('Financial Statements'!D56+'Financial Statements'!D68)</f>
        <v>0.61729855737973771</v>
      </c>
    </row>
    <row r="28" spans="1:5" x14ac:dyDescent="0.35">
      <c r="A28" s="18">
        <f t="shared" si="2"/>
        <v>3.4000000000000004</v>
      </c>
      <c r="B28" s="27" t="s">
        <v>120</v>
      </c>
      <c r="C28" s="28">
        <f>C21/('Financial Statements'!B19)</f>
        <v>-153.72754491017963</v>
      </c>
      <c r="D28" s="28">
        <f>D21/('Financial Statements'!C19)</f>
        <v>170.1046511627907</v>
      </c>
      <c r="E28" s="28">
        <f>E21/('Financial Statements'!D19)</f>
        <v>48.154420921544208</v>
      </c>
    </row>
    <row r="29" spans="1:5" x14ac:dyDescent="0.35">
      <c r="A29" s="18">
        <f t="shared" si="2"/>
        <v>3.5000000000000004</v>
      </c>
      <c r="B29" s="27" t="s">
        <v>121</v>
      </c>
      <c r="C29" s="28">
        <f>'Financial Statements'!B18/'Financial Statements'!B62</f>
        <v>0.39537809145168712</v>
      </c>
      <c r="D29" s="28">
        <f>'Financial Statements'!C18/'Financial Statements'!C62</f>
        <v>0.37841076440023341</v>
      </c>
      <c r="E29" s="28">
        <f>'Financial Statements'!D18/'Financial Statements'!D62</f>
        <v>0.25638466983047703</v>
      </c>
    </row>
    <row r="30" spans="1:5" x14ac:dyDescent="0.35">
      <c r="A30" s="18">
        <f t="shared" si="2"/>
        <v>3.6000000000000005</v>
      </c>
      <c r="B30" s="27" t="s">
        <v>122</v>
      </c>
      <c r="C30" s="28">
        <f>C31/'Financial Statements'!B28</f>
        <v>8.5796002025993311E-3</v>
      </c>
      <c r="D30" s="28">
        <f>D31/'Financial Statements'!C28</f>
        <v>7.1366485661745541E-3</v>
      </c>
      <c r="E30" s="28">
        <f>E31/'Financial Statements'!D28</f>
        <v>2.2794107830951859E-3</v>
      </c>
    </row>
    <row r="31" spans="1:5" x14ac:dyDescent="0.35">
      <c r="A31" s="18"/>
      <c r="B31" s="31" t="s">
        <v>123</v>
      </c>
      <c r="C31" s="28">
        <f>'Financial Statements'!B22+'Financial Statements'!B79-'List of Ratios'!C14-'Financial Statements'!B96+('Financial Statements'!B104+'Financial Statements'!B105+'Financial Statements'!B106)</f>
        <v>140069</v>
      </c>
      <c r="D31" s="28">
        <f>'Financial Statements'!C22+'Financial Statements'!C79-'List of Ratios'!D14-'Financial Statements'!C96+('Financial Statements'!C104+'Financial Statements'!C105+'Financial Statements'!C106)</f>
        <v>120359</v>
      </c>
      <c r="E31" s="28">
        <f>'Financial Statements'!D22+'Financial Statements'!D79-'List of Ratios'!E14-'Financial Statements'!D96+('Financial Statements'!D104+'Financial Statements'!D105+'Financial Statements'!D106)</f>
        <v>39954</v>
      </c>
    </row>
    <row r="32" spans="1:5" x14ac:dyDescent="0.35">
      <c r="A32" s="18"/>
      <c r="B32" s="28"/>
      <c r="C32" s="28"/>
      <c r="D32" s="28"/>
      <c r="E32" s="28"/>
    </row>
    <row r="33" spans="1:6" x14ac:dyDescent="0.35">
      <c r="A33" s="18">
        <f>+A24+1</f>
        <v>4</v>
      </c>
      <c r="B33" s="32" t="s">
        <v>124</v>
      </c>
      <c r="C33" s="28"/>
      <c r="D33" s="28"/>
      <c r="E33" s="28"/>
    </row>
    <row r="34" spans="1:6" x14ac:dyDescent="0.35">
      <c r="A34" s="18">
        <f>+A33+0.1</f>
        <v>4.0999999999999996</v>
      </c>
      <c r="B34" s="27" t="s">
        <v>125</v>
      </c>
      <c r="C34" s="28">
        <f>'Financial Statements'!B8/'Financial Statements'!B48</f>
        <v>1.1178523337727317</v>
      </c>
      <c r="D34" s="28">
        <f>'Financial Statements'!C8/'Financial Statements'!C48</f>
        <v>1.0422077367080529</v>
      </c>
      <c r="E34" s="28">
        <f>'Financial Statements'!D8/'Financial Statements'!D48</f>
        <v>0.84756150274168851</v>
      </c>
    </row>
    <row r="35" spans="1:6" x14ac:dyDescent="0.35">
      <c r="A35" s="18">
        <f t="shared" ref="A35:A37" si="3">+A34+0.1</f>
        <v>4.1999999999999993</v>
      </c>
      <c r="B35" s="27" t="s">
        <v>126</v>
      </c>
      <c r="C35" s="28">
        <f>'Financial Statements'!B8/'Financial Statements'!B47</f>
        <v>1.8142535081665516</v>
      </c>
      <c r="D35" s="28">
        <f>'Financial Statements'!C8/'Financial Statements'!C47</f>
        <v>1.6922966608994938</v>
      </c>
      <c r="E35" s="28">
        <f>'Financial Statements'!D8/'Financial Statements'!D47</f>
        <v>1.5236020535590398</v>
      </c>
    </row>
    <row r="36" spans="1:6" x14ac:dyDescent="0.35">
      <c r="A36" s="18">
        <f t="shared" si="3"/>
        <v>4.2999999999999989</v>
      </c>
      <c r="B36" s="27" t="s">
        <v>127</v>
      </c>
      <c r="C36" s="28">
        <f>'Financial Statements'!B10/'Financial Statements'!B39</f>
        <v>40.734128588758594</v>
      </c>
      <c r="D36" s="28">
        <f>'Financial Statements'!C10/'Financial Statements'!C39</f>
        <v>29.219756838905774</v>
      </c>
      <c r="E36" s="28">
        <f>'Financial Statements'!D10/'Financial Statements'!D39</f>
        <v>37.253385865550356</v>
      </c>
    </row>
    <row r="37" spans="1:6" x14ac:dyDescent="0.35">
      <c r="A37" s="18">
        <f t="shared" si="3"/>
        <v>4.3999999999999986</v>
      </c>
      <c r="B37" s="27" t="s">
        <v>128</v>
      </c>
      <c r="C37" s="33">
        <f>'Financial Statements'!B22/'Financial Statements'!B48</f>
        <v>0.28292440929256851</v>
      </c>
      <c r="D37" s="33">
        <f>'Financial Statements'!C22/'Financial Statements'!C48</f>
        <v>0.26974205275183616</v>
      </c>
      <c r="E37" s="33">
        <f>'Financial Statements'!D22/'Financial Statements'!D48</f>
        <v>0.1772557180259843</v>
      </c>
    </row>
    <row r="38" spans="1:6" x14ac:dyDescent="0.35">
      <c r="A38" s="18"/>
      <c r="B38" s="28"/>
      <c r="C38" s="28"/>
      <c r="D38" s="28"/>
      <c r="E38" s="28"/>
    </row>
    <row r="39" spans="1:6" x14ac:dyDescent="0.35">
      <c r="A39" s="18">
        <f>+A33+1</f>
        <v>5</v>
      </c>
      <c r="B39" s="32" t="s">
        <v>129</v>
      </c>
      <c r="C39" s="28"/>
      <c r="D39" s="28"/>
      <c r="E39" s="28"/>
    </row>
    <row r="40" spans="1:6" x14ac:dyDescent="0.35">
      <c r="A40" s="18">
        <f>+A39+0.1</f>
        <v>5.0999999999999996</v>
      </c>
      <c r="B40" s="27" t="s">
        <v>130</v>
      </c>
      <c r="C40" s="28">
        <f>196.45/C41</f>
        <v>31.943089430894304</v>
      </c>
      <c r="D40" s="28">
        <f t="shared" ref="D40:E40" si="4">196.45/D41</f>
        <v>34.647266313932981</v>
      </c>
      <c r="E40" s="28">
        <f t="shared" si="4"/>
        <v>59.350453172205434</v>
      </c>
      <c r="F40" t="s">
        <v>150</v>
      </c>
    </row>
    <row r="41" spans="1:6" x14ac:dyDescent="0.35">
      <c r="A41" s="18">
        <f t="shared" ref="A41:A44" si="5">+A40+0.1</f>
        <v>5.1999999999999993</v>
      </c>
      <c r="B41" s="31" t="s">
        <v>131</v>
      </c>
      <c r="C41" s="28">
        <f>'Financial Statements'!B24</f>
        <v>6.15</v>
      </c>
      <c r="D41" s="28">
        <f>'Financial Statements'!C24</f>
        <v>5.67</v>
      </c>
      <c r="E41" s="28">
        <f>'Financial Statements'!D24</f>
        <v>3.31</v>
      </c>
    </row>
    <row r="42" spans="1:6" x14ac:dyDescent="0.35">
      <c r="A42" s="18">
        <f t="shared" si="5"/>
        <v>5.2999999999999989</v>
      </c>
      <c r="B42" s="27" t="s">
        <v>132</v>
      </c>
      <c r="C42" s="28">
        <f>196.45/C43</f>
        <v>18.434579248894853</v>
      </c>
      <c r="D42" s="28">
        <f t="shared" ref="D42:E42" si="6">196.45/D43</f>
        <v>14.806102388651132</v>
      </c>
      <c r="E42" s="28">
        <f t="shared" si="6"/>
        <v>14.296469179203843</v>
      </c>
    </row>
    <row r="43" spans="1:6" x14ac:dyDescent="0.35">
      <c r="A43" s="18">
        <f t="shared" si="5"/>
        <v>5.3999999999999986</v>
      </c>
      <c r="B43" s="31" t="s">
        <v>133</v>
      </c>
      <c r="C43" s="28">
        <f>'Financial Statements'!B68/4754.986</f>
        <v>10.656603405351772</v>
      </c>
      <c r="D43" s="28">
        <f>'Financial Statements'!C68/4754.986</f>
        <v>13.268177866349134</v>
      </c>
      <c r="E43" s="28">
        <f>'Financial Statements'!D68/4754.986</f>
        <v>13.741155073853005</v>
      </c>
    </row>
    <row r="44" spans="1:6" x14ac:dyDescent="0.35">
      <c r="A44" s="18">
        <f t="shared" si="5"/>
        <v>5.4999999999999982</v>
      </c>
      <c r="B44" s="27" t="s">
        <v>134</v>
      </c>
      <c r="C44" s="33">
        <f>-'Financial Statements'!B102/'Financial Statements'!B22</f>
        <v>0.14870294480125848</v>
      </c>
      <c r="D44" s="33">
        <f>-'Financial Statements'!C102/'Financial Statements'!C22</f>
        <v>0.15279890156316012</v>
      </c>
      <c r="E44" s="33">
        <f>-'Financial Statements'!D102/'Financial Statements'!D22</f>
        <v>0.24526658654264863</v>
      </c>
    </row>
    <row r="45" spans="1:6" x14ac:dyDescent="0.35">
      <c r="A45" s="18"/>
      <c r="B45" s="31" t="s">
        <v>135</v>
      </c>
      <c r="C45" s="28">
        <f>(-'Financial Statements'!B102)/4754.986</f>
        <v>3.121144836178277</v>
      </c>
      <c r="D45" s="28">
        <f>(-'Financial Statements'!C102)/4754.986</f>
        <v>3.042490556228767</v>
      </c>
      <c r="E45" s="28">
        <f>(-'Financial Statements'!D102)/4754.986</f>
        <v>2.9613126095429094</v>
      </c>
    </row>
    <row r="46" spans="1:6" x14ac:dyDescent="0.35">
      <c r="A46" s="18">
        <f>+A44+0.1</f>
        <v>5.5999999999999979</v>
      </c>
      <c r="B46" s="27" t="s">
        <v>136</v>
      </c>
      <c r="C46" s="33">
        <f>C45/196.45</f>
        <v>1.5887731413480669E-2</v>
      </c>
      <c r="D46" s="33">
        <f t="shared" ref="D46:E46" si="7">D45/196.45</f>
        <v>1.5487353302258932E-2</v>
      </c>
      <c r="E46" s="33">
        <f t="shared" si="7"/>
        <v>1.507412883452741E-2</v>
      </c>
    </row>
    <row r="47" spans="1:6" x14ac:dyDescent="0.35">
      <c r="A47" s="18">
        <f t="shared" ref="A47:A50" si="8">+A45+0.1</f>
        <v>0.1</v>
      </c>
      <c r="B47" s="27" t="s">
        <v>137</v>
      </c>
      <c r="C47" s="33">
        <f>'Financial Statements'!B22/'Financial Statements'!B68</f>
        <v>1.9695887275023682</v>
      </c>
      <c r="D47" s="33">
        <f>'Financial Statements'!C22/'Financial Statements'!C68</f>
        <v>1.5007132667617689</v>
      </c>
      <c r="E47" s="33">
        <f>'Financial Statements'!D22/'Financial Statements'!D68</f>
        <v>0.87866358530127486</v>
      </c>
    </row>
    <row r="48" spans="1:6" x14ac:dyDescent="0.35">
      <c r="A48" s="18">
        <f t="shared" si="8"/>
        <v>5.6999999999999975</v>
      </c>
      <c r="B48" s="27" t="s">
        <v>138</v>
      </c>
      <c r="C48" s="33">
        <f>'Financial Statements'!B18/('Financial Statements'!B48-'Financial Statements'!B56)</f>
        <v>0.60087134570590572</v>
      </c>
      <c r="D48" s="33">
        <f>'Financial Statements'!C18/('Financial Statements'!C48-'Financial Statements'!C56)</f>
        <v>0.48309913489209433</v>
      </c>
      <c r="E48" s="33">
        <f>'Financial Statements'!D18/('Financial Statements'!D48-'Financial Statements'!D56)</f>
        <v>0.30338312829525482</v>
      </c>
    </row>
    <row r="49" spans="1:5" x14ac:dyDescent="0.35">
      <c r="A49" s="18">
        <f t="shared" si="8"/>
        <v>0.2</v>
      </c>
      <c r="B49" s="27" t="s">
        <v>128</v>
      </c>
      <c r="C49" s="33">
        <f>'Financial Statements'!B22/'Financial Statements'!B48</f>
        <v>0.28292440929256851</v>
      </c>
      <c r="D49" s="33">
        <f>'Financial Statements'!C22/'Financial Statements'!C48</f>
        <v>0.26974205275183616</v>
      </c>
      <c r="E49" s="33">
        <f>'Financial Statements'!D22/'Financial Statements'!D48</f>
        <v>0.1772557180259843</v>
      </c>
    </row>
    <row r="50" spans="1:5" x14ac:dyDescent="0.35">
      <c r="A50" s="18">
        <f t="shared" si="8"/>
        <v>5.7999999999999972</v>
      </c>
      <c r="B50" s="27" t="s">
        <v>139</v>
      </c>
      <c r="C50" s="28">
        <f>C51/C19</f>
        <v>7156.0170651366234</v>
      </c>
      <c r="D50" s="28">
        <f t="shared" ref="D50:E50" si="9">D51/D19</f>
        <v>7769.4559538562617</v>
      </c>
      <c r="E50" s="28">
        <f t="shared" si="9"/>
        <v>12077.759705988829</v>
      </c>
    </row>
    <row r="51" spans="1:5" x14ac:dyDescent="0.35">
      <c r="A51" s="18"/>
      <c r="B51" s="31" t="s">
        <v>140</v>
      </c>
      <c r="C51" s="28">
        <f>$C$52+'Financial Statements'!B60+'Financial Statements'!B55-'Financial Statements'!B36</f>
        <v>934153623.69999993</v>
      </c>
      <c r="D51" s="28">
        <f>$C$52+'Financial Statements'!C60+'Financial Statements'!C55-'Financial Statements'!C36</f>
        <v>934144997.69999993</v>
      </c>
      <c r="E51" s="28">
        <f>$C$52+'Financial Statements'!D60+'Financial Statements'!D55-'Financial Statements'!D36</f>
        <v>934142246.69999993</v>
      </c>
    </row>
    <row r="52" spans="1:5" x14ac:dyDescent="0.35">
      <c r="B52" s="27" t="s">
        <v>151</v>
      </c>
      <c r="C52" s="28">
        <f>196.45*4754986</f>
        <v>934116999.69999993</v>
      </c>
      <c r="D52" s="28"/>
      <c r="E52" s="28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crsytabel odede</cp:lastModifiedBy>
  <dcterms:created xsi:type="dcterms:W3CDTF">2020-05-18T16:32:37Z</dcterms:created>
  <dcterms:modified xsi:type="dcterms:W3CDTF">2024-07-19T09:32:17Z</dcterms:modified>
</cp:coreProperties>
</file>